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9915" tabRatio="593" activeTab="0"/>
  </bookViews>
  <sheets>
    <sheet name="Sheet1" sheetId="1" r:id="rId1"/>
    <sheet name="Sheet2" sheetId="2" r:id="rId2"/>
    <sheet name="Sheet3" sheetId="3" r:id="rId3"/>
  </sheets>
  <definedNames>
    <definedName name="Ae">'Sheet1'!$C$44</definedName>
    <definedName name="ALe">'Sheet1'!$C$52</definedName>
    <definedName name="AP">'Sheet1'!$C$43</definedName>
    <definedName name="Cp">'Sheet1'!$C$25</definedName>
    <definedName name="Cr">'Sheet1'!$C$22</definedName>
    <definedName name="fmax">'Sheet1'!$C$16</definedName>
    <definedName name="fmin">'Sheet1'!$C$7</definedName>
    <definedName name="fr">'Sheet1'!$C$15</definedName>
    <definedName name="Gmax">'Sheet1'!$C$14</definedName>
    <definedName name="Gmin">'Sheet1'!$C$13</definedName>
    <definedName name="IC1_">'Sheet1'!$C$38</definedName>
    <definedName name="Id">'Sheet1'!$C$35</definedName>
    <definedName name="Idrms">'Sheet1'!$C$36</definedName>
    <definedName name="IL">'Sheet1'!$C$39</definedName>
    <definedName name="Io">'Sheet1'!$C$8</definedName>
    <definedName name="IQrms">'Sheet1'!$C$33</definedName>
    <definedName name="Irms">'Sheet1'!$C$32</definedName>
    <definedName name="K">'Sheet1'!$C$10</definedName>
    <definedName name="Lm">'Sheet1'!$C$23</definedName>
    <definedName name="Lr">'Sheet1'!$C$21</definedName>
    <definedName name="n">'Sheet1'!$C$12</definedName>
    <definedName name="N2_">'Sheet1'!$C$49</definedName>
    <definedName name="nL">'Sheet1'!$C$53</definedName>
    <definedName name="Nmin">'Sheet1'!#REF!</definedName>
    <definedName name="nr">'Sheet1'!$C$45</definedName>
    <definedName name="Nreal">'Sheet1'!#REF!</definedName>
    <definedName name="nrL">'Sheet1'!#REF!</definedName>
    <definedName name="Pout">'Sheet1'!$C$11</definedName>
    <definedName name="Q">'Sheet1'!$C$20</definedName>
    <definedName name="Qmax">'Sheet1'!$C$19</definedName>
    <definedName name="Rac">'Sheet1'!$C$18</definedName>
    <definedName name="RL">'Sheet1'!$C$17</definedName>
    <definedName name="Vcr">'Sheet1'!$C$41</definedName>
    <definedName name="Vd">'Sheet1'!$C$9</definedName>
    <definedName name="Vd2">'Sheet1'!$C$34</definedName>
    <definedName name="Vin">'Sheet1'!$C$3</definedName>
    <definedName name="Vomax">'Sheet1'!$C$5</definedName>
    <definedName name="Vomin">'Sheet1'!$C$4</definedName>
    <definedName name="Vout">'Sheet1'!$C$6</definedName>
    <definedName name="σ">'Sheet1'!#REF!</definedName>
    <definedName name="σL">'Sheet1'!$C$54</definedName>
    <definedName name="σLr">'Sheet1'!$C$55</definedName>
    <definedName name="σr">'Sheet1'!$C$46</definedName>
  </definedNames>
  <calcPr fullCalcOnLoad="1"/>
</workbook>
</file>

<file path=xl/sharedStrings.xml><?xml version="1.0" encoding="utf-8"?>
<sst xmlns="http://schemas.openxmlformats.org/spreadsheetml/2006/main" count="169" uniqueCount="152">
  <si>
    <t>全桥LLC计算</t>
  </si>
  <si>
    <t>备注</t>
  </si>
  <si>
    <t>引用公式</t>
  </si>
  <si>
    <t>输入电压</t>
  </si>
  <si>
    <r>
      <t>V</t>
    </r>
    <r>
      <rPr>
        <vertAlign val="subscript"/>
        <sz val="12"/>
        <rFont val="宋体"/>
        <family val="0"/>
      </rPr>
      <t>in</t>
    </r>
  </si>
  <si>
    <t>VDC</t>
  </si>
  <si>
    <t>最低输出电压</t>
  </si>
  <si>
    <r>
      <t>V</t>
    </r>
    <r>
      <rPr>
        <vertAlign val="subscript"/>
        <sz val="12"/>
        <rFont val="宋体"/>
        <family val="0"/>
      </rPr>
      <t>omin</t>
    </r>
  </si>
  <si>
    <t>最高输出电压</t>
  </si>
  <si>
    <r>
      <t>V</t>
    </r>
    <r>
      <rPr>
        <vertAlign val="subscript"/>
        <sz val="12"/>
        <rFont val="宋体"/>
        <family val="0"/>
      </rPr>
      <t>omax</t>
    </r>
  </si>
  <si>
    <t>输出额定电压</t>
  </si>
  <si>
    <r>
      <t>V</t>
    </r>
    <r>
      <rPr>
        <vertAlign val="subscript"/>
        <sz val="12"/>
        <rFont val="宋体"/>
        <family val="0"/>
      </rPr>
      <t>out</t>
    </r>
  </si>
  <si>
    <t>最低工作频率</t>
  </si>
  <si>
    <r>
      <t>f</t>
    </r>
    <r>
      <rPr>
        <vertAlign val="subscript"/>
        <sz val="12"/>
        <rFont val="宋体"/>
        <family val="0"/>
      </rPr>
      <t>min</t>
    </r>
  </si>
  <si>
    <t>Hz</t>
  </si>
  <si>
    <t>输出满载电流</t>
  </si>
  <si>
    <r>
      <t>I</t>
    </r>
    <r>
      <rPr>
        <vertAlign val="subscript"/>
        <sz val="12"/>
        <rFont val="宋体"/>
        <family val="0"/>
      </rPr>
      <t>o</t>
    </r>
  </si>
  <si>
    <t>A</t>
  </si>
  <si>
    <t>输出二极管压降</t>
  </si>
  <si>
    <r>
      <t>V</t>
    </r>
    <r>
      <rPr>
        <vertAlign val="subscript"/>
        <sz val="12"/>
        <rFont val="宋体"/>
        <family val="0"/>
      </rPr>
      <t>d</t>
    </r>
  </si>
  <si>
    <t>给定K值</t>
  </si>
  <si>
    <t>K</t>
  </si>
  <si>
    <t>输出额定功率</t>
  </si>
  <si>
    <r>
      <t>P</t>
    </r>
    <r>
      <rPr>
        <vertAlign val="subscript"/>
        <sz val="12"/>
        <rFont val="宋体"/>
        <family val="0"/>
      </rPr>
      <t>out</t>
    </r>
  </si>
  <si>
    <t>W</t>
  </si>
  <si>
    <r>
      <t>P</t>
    </r>
    <r>
      <rPr>
        <vertAlign val="subscript"/>
        <sz val="12"/>
        <rFont val="宋体"/>
        <family val="0"/>
      </rPr>
      <t>out</t>
    </r>
    <r>
      <rPr>
        <sz val="12"/>
        <rFont val="宋体"/>
        <family val="0"/>
      </rPr>
      <t>=V</t>
    </r>
    <r>
      <rPr>
        <vertAlign val="subscript"/>
        <sz val="12"/>
        <rFont val="宋体"/>
        <family val="0"/>
      </rPr>
      <t>out</t>
    </r>
    <r>
      <rPr>
        <sz val="12"/>
        <rFont val="宋体"/>
        <family val="0"/>
      </rPr>
      <t>*I</t>
    </r>
    <r>
      <rPr>
        <vertAlign val="subscript"/>
        <sz val="12"/>
        <rFont val="宋体"/>
        <family val="0"/>
      </rPr>
      <t>o</t>
    </r>
  </si>
  <si>
    <t>理论变比</t>
  </si>
  <si>
    <t>n</t>
  </si>
  <si>
    <r>
      <t>n=V</t>
    </r>
    <r>
      <rPr>
        <vertAlign val="subscript"/>
        <sz val="12"/>
        <rFont val="宋体"/>
        <family val="0"/>
      </rPr>
      <t>in</t>
    </r>
    <r>
      <rPr>
        <sz val="12"/>
        <rFont val="宋体"/>
        <family val="0"/>
      </rPr>
      <t>/（V</t>
    </r>
    <r>
      <rPr>
        <vertAlign val="subscript"/>
        <sz val="12"/>
        <rFont val="宋体"/>
        <family val="0"/>
      </rPr>
      <t>out</t>
    </r>
    <r>
      <rPr>
        <sz val="12"/>
        <rFont val="宋体"/>
        <family val="0"/>
      </rPr>
      <t>+V</t>
    </r>
    <r>
      <rPr>
        <vertAlign val="subscript"/>
        <sz val="12"/>
        <rFont val="宋体"/>
        <family val="0"/>
      </rPr>
      <t>d</t>
    </r>
    <r>
      <rPr>
        <sz val="12"/>
        <rFont val="宋体"/>
        <family val="0"/>
      </rPr>
      <t>）</t>
    </r>
  </si>
  <si>
    <t>最低输入电压增益</t>
  </si>
  <si>
    <r>
      <t>G</t>
    </r>
    <r>
      <rPr>
        <vertAlign val="subscript"/>
        <sz val="12"/>
        <rFont val="宋体"/>
        <family val="0"/>
      </rPr>
      <t>min</t>
    </r>
  </si>
  <si>
    <r>
      <t>G</t>
    </r>
    <r>
      <rPr>
        <vertAlign val="subscript"/>
        <sz val="12"/>
        <rFont val="宋体"/>
        <family val="0"/>
      </rPr>
      <t>min</t>
    </r>
    <r>
      <rPr>
        <sz val="12"/>
        <rFont val="宋体"/>
        <family val="0"/>
      </rPr>
      <t>=n*(V</t>
    </r>
    <r>
      <rPr>
        <vertAlign val="subscript"/>
        <sz val="12"/>
        <rFont val="宋体"/>
        <family val="0"/>
      </rPr>
      <t>omin</t>
    </r>
    <r>
      <rPr>
        <sz val="12"/>
        <rFont val="宋体"/>
        <family val="0"/>
      </rPr>
      <t>+V</t>
    </r>
    <r>
      <rPr>
        <vertAlign val="subscript"/>
        <sz val="12"/>
        <rFont val="宋体"/>
        <family val="0"/>
      </rPr>
      <t>d</t>
    </r>
    <r>
      <rPr>
        <sz val="12"/>
        <rFont val="宋体"/>
        <family val="0"/>
      </rPr>
      <t>)/V</t>
    </r>
    <r>
      <rPr>
        <vertAlign val="subscript"/>
        <sz val="12"/>
        <rFont val="宋体"/>
        <family val="0"/>
      </rPr>
      <t>in</t>
    </r>
  </si>
  <si>
    <t>最高输入电压增益</t>
  </si>
  <si>
    <r>
      <t>G</t>
    </r>
    <r>
      <rPr>
        <vertAlign val="subscript"/>
        <sz val="12"/>
        <rFont val="宋体"/>
        <family val="0"/>
      </rPr>
      <t>max</t>
    </r>
  </si>
  <si>
    <r>
      <t>G</t>
    </r>
    <r>
      <rPr>
        <vertAlign val="subscript"/>
        <sz val="12"/>
        <rFont val="宋体"/>
        <family val="0"/>
      </rPr>
      <t>max</t>
    </r>
    <r>
      <rPr>
        <sz val="12"/>
        <rFont val="宋体"/>
        <family val="0"/>
      </rPr>
      <t>=n*(V</t>
    </r>
    <r>
      <rPr>
        <vertAlign val="subscript"/>
        <sz val="12"/>
        <rFont val="宋体"/>
        <family val="0"/>
      </rPr>
      <t>omax</t>
    </r>
    <r>
      <rPr>
        <sz val="12"/>
        <rFont val="宋体"/>
        <family val="0"/>
      </rPr>
      <t>+V</t>
    </r>
    <r>
      <rPr>
        <vertAlign val="subscript"/>
        <sz val="12"/>
        <rFont val="宋体"/>
        <family val="0"/>
      </rPr>
      <t>d</t>
    </r>
    <r>
      <rPr>
        <sz val="12"/>
        <rFont val="宋体"/>
        <family val="0"/>
      </rPr>
      <t>)/V</t>
    </r>
    <r>
      <rPr>
        <vertAlign val="subscript"/>
        <sz val="12"/>
        <rFont val="宋体"/>
        <family val="0"/>
      </rPr>
      <t>in</t>
    </r>
  </si>
  <si>
    <t>谐振频率点</t>
  </si>
  <si>
    <r>
      <t>f</t>
    </r>
    <r>
      <rPr>
        <vertAlign val="subscript"/>
        <sz val="12"/>
        <rFont val="宋体"/>
        <family val="0"/>
      </rPr>
      <t>r</t>
    </r>
  </si>
  <si>
    <r>
      <t>f</t>
    </r>
    <r>
      <rPr>
        <vertAlign val="subscript"/>
        <sz val="12"/>
        <rFont val="宋体"/>
        <family val="0"/>
      </rPr>
      <t>r</t>
    </r>
    <r>
      <rPr>
        <sz val="12"/>
        <rFont val="宋体"/>
        <family val="0"/>
      </rPr>
      <t>=f</t>
    </r>
    <r>
      <rPr>
        <vertAlign val="subscript"/>
        <sz val="12"/>
        <rFont val="宋体"/>
        <family val="0"/>
      </rPr>
      <t>min</t>
    </r>
    <r>
      <rPr>
        <sz val="12"/>
        <rFont val="宋体"/>
        <family val="0"/>
      </rPr>
      <t>*SQRT(1+K*(G</t>
    </r>
    <r>
      <rPr>
        <vertAlign val="subscript"/>
        <sz val="12"/>
        <rFont val="宋体"/>
        <family val="0"/>
      </rPr>
      <t>max</t>
    </r>
    <r>
      <rPr>
        <sz val="12"/>
        <rFont val="宋体"/>
        <family val="0"/>
      </rPr>
      <t>^2-1)/G</t>
    </r>
    <r>
      <rPr>
        <vertAlign val="subscript"/>
        <sz val="12"/>
        <rFont val="宋体"/>
        <family val="0"/>
      </rPr>
      <t>max</t>
    </r>
    <r>
      <rPr>
        <sz val="12"/>
        <rFont val="宋体"/>
        <family val="0"/>
      </rPr>
      <t>^2)</t>
    </r>
  </si>
  <si>
    <t>最高工作频率</t>
  </si>
  <si>
    <r>
      <t>f</t>
    </r>
    <r>
      <rPr>
        <vertAlign val="subscript"/>
        <sz val="12"/>
        <rFont val="宋体"/>
        <family val="0"/>
      </rPr>
      <t>max</t>
    </r>
  </si>
  <si>
    <r>
      <t>f</t>
    </r>
    <r>
      <rPr>
        <vertAlign val="subscript"/>
        <sz val="12"/>
        <rFont val="宋体"/>
        <family val="0"/>
      </rPr>
      <t>max</t>
    </r>
    <r>
      <rPr>
        <sz val="12"/>
        <rFont val="宋体"/>
        <family val="0"/>
      </rPr>
      <t>=f</t>
    </r>
    <r>
      <rPr>
        <vertAlign val="subscript"/>
        <sz val="12"/>
        <rFont val="宋体"/>
        <family val="0"/>
      </rPr>
      <t>r</t>
    </r>
    <r>
      <rPr>
        <sz val="12"/>
        <rFont val="宋体"/>
        <family val="0"/>
      </rPr>
      <t>/(SQRT(1+K*(G</t>
    </r>
    <r>
      <rPr>
        <vertAlign val="subscript"/>
        <sz val="12"/>
        <rFont val="宋体"/>
        <family val="0"/>
      </rPr>
      <t>min</t>
    </r>
    <r>
      <rPr>
        <sz val="12"/>
        <rFont val="宋体"/>
        <family val="0"/>
      </rPr>
      <t>-1)/G</t>
    </r>
    <r>
      <rPr>
        <vertAlign val="subscript"/>
        <sz val="12"/>
        <rFont val="宋体"/>
        <family val="0"/>
      </rPr>
      <t>min</t>
    </r>
    <r>
      <rPr>
        <sz val="12"/>
        <rFont val="宋体"/>
        <family val="0"/>
      </rPr>
      <t>))</t>
    </r>
  </si>
  <si>
    <t>输出电阻最小值</t>
  </si>
  <si>
    <r>
      <t>R</t>
    </r>
    <r>
      <rPr>
        <vertAlign val="subscript"/>
        <sz val="12"/>
        <rFont val="宋体"/>
        <family val="0"/>
      </rPr>
      <t>L</t>
    </r>
  </si>
  <si>
    <t>Ω</t>
  </si>
  <si>
    <r>
      <t>R</t>
    </r>
    <r>
      <rPr>
        <vertAlign val="subscript"/>
        <sz val="12"/>
        <rFont val="宋体"/>
        <family val="0"/>
      </rPr>
      <t>L</t>
    </r>
    <r>
      <rPr>
        <sz val="12"/>
        <rFont val="宋体"/>
        <family val="0"/>
      </rPr>
      <t>=V</t>
    </r>
    <r>
      <rPr>
        <vertAlign val="subscript"/>
        <sz val="12"/>
        <rFont val="宋体"/>
        <family val="0"/>
      </rPr>
      <t>out</t>
    </r>
    <r>
      <rPr>
        <sz val="12"/>
        <rFont val="宋体"/>
        <family val="0"/>
      </rPr>
      <t>/I</t>
    </r>
    <r>
      <rPr>
        <vertAlign val="subscript"/>
        <sz val="12"/>
        <rFont val="宋体"/>
        <family val="0"/>
      </rPr>
      <t>o</t>
    </r>
  </si>
  <si>
    <t>原边等效电阻</t>
  </si>
  <si>
    <r>
      <t>R</t>
    </r>
    <r>
      <rPr>
        <vertAlign val="subscript"/>
        <sz val="12"/>
        <rFont val="宋体"/>
        <family val="0"/>
      </rPr>
      <t>ac</t>
    </r>
  </si>
  <si>
    <r>
      <t>R</t>
    </r>
    <r>
      <rPr>
        <vertAlign val="subscript"/>
        <sz val="12"/>
        <rFont val="宋体"/>
        <family val="0"/>
      </rPr>
      <t>ac</t>
    </r>
    <r>
      <rPr>
        <sz val="12"/>
        <rFont val="宋体"/>
        <family val="0"/>
      </rPr>
      <t>=8*n</t>
    </r>
    <r>
      <rPr>
        <vertAlign val="superscript"/>
        <sz val="12"/>
        <rFont val="宋体"/>
        <family val="0"/>
      </rPr>
      <t>2*</t>
    </r>
    <r>
      <rPr>
        <sz val="12"/>
        <rFont val="宋体"/>
        <family val="0"/>
      </rPr>
      <t>R</t>
    </r>
    <r>
      <rPr>
        <vertAlign val="subscript"/>
        <sz val="12"/>
        <rFont val="宋体"/>
        <family val="0"/>
      </rPr>
      <t>L</t>
    </r>
    <r>
      <rPr>
        <sz val="12"/>
        <rFont val="宋体"/>
        <family val="0"/>
      </rPr>
      <t>/π</t>
    </r>
    <r>
      <rPr>
        <vertAlign val="superscript"/>
        <sz val="12"/>
        <rFont val="宋体"/>
        <family val="0"/>
      </rPr>
      <t>2</t>
    </r>
  </si>
  <si>
    <t>可安全工作的最大品质因数</t>
  </si>
  <si>
    <r>
      <t>Q</t>
    </r>
    <r>
      <rPr>
        <vertAlign val="subscript"/>
        <sz val="12"/>
        <rFont val="宋体"/>
        <family val="0"/>
      </rPr>
      <t>max</t>
    </r>
  </si>
  <si>
    <r>
      <t>Q</t>
    </r>
    <r>
      <rPr>
        <vertAlign val="subscript"/>
        <sz val="12"/>
        <rFont val="宋体"/>
        <family val="0"/>
      </rPr>
      <t>max</t>
    </r>
    <r>
      <rPr>
        <sz val="12"/>
        <rFont val="宋体"/>
        <family val="0"/>
      </rPr>
      <t>=(SQRT(K+G</t>
    </r>
    <r>
      <rPr>
        <vertAlign val="superscript"/>
        <sz val="12"/>
        <rFont val="宋体"/>
        <family val="0"/>
      </rPr>
      <t>2</t>
    </r>
    <r>
      <rPr>
        <vertAlign val="subscript"/>
        <sz val="12"/>
        <rFont val="宋体"/>
        <family val="0"/>
      </rPr>
      <t>max</t>
    </r>
    <r>
      <rPr>
        <sz val="12"/>
        <rFont val="宋体"/>
        <family val="0"/>
      </rPr>
      <t>/(G</t>
    </r>
    <r>
      <rPr>
        <vertAlign val="superscript"/>
        <sz val="12"/>
        <rFont val="宋体"/>
        <family val="0"/>
      </rPr>
      <t>2</t>
    </r>
    <r>
      <rPr>
        <vertAlign val="subscript"/>
        <sz val="12"/>
        <rFont val="宋体"/>
        <family val="0"/>
      </rPr>
      <t>max</t>
    </r>
    <r>
      <rPr>
        <sz val="12"/>
        <rFont val="宋体"/>
        <family val="0"/>
      </rPr>
      <t>-1))/(K*G</t>
    </r>
    <r>
      <rPr>
        <vertAlign val="subscript"/>
        <sz val="12"/>
        <rFont val="宋体"/>
        <family val="0"/>
      </rPr>
      <t>max</t>
    </r>
    <r>
      <rPr>
        <sz val="12"/>
        <rFont val="宋体"/>
        <family val="0"/>
      </rPr>
      <t>)</t>
    </r>
  </si>
  <si>
    <t>Q</t>
  </si>
  <si>
    <r>
      <t>一般取0.9-0.95的Q</t>
    </r>
    <r>
      <rPr>
        <vertAlign val="subscript"/>
        <sz val="12"/>
        <rFont val="宋体"/>
        <family val="0"/>
      </rPr>
      <t>max</t>
    </r>
  </si>
  <si>
    <t>谐振电感</t>
  </si>
  <si>
    <r>
      <t>L</t>
    </r>
    <r>
      <rPr>
        <vertAlign val="subscript"/>
        <sz val="12"/>
        <rFont val="宋体"/>
        <family val="0"/>
      </rPr>
      <t>r</t>
    </r>
  </si>
  <si>
    <t>uH</t>
  </si>
  <si>
    <t>Lr=((Q*Rac)/(2*3.14159*fr))*1000000</t>
  </si>
  <si>
    <t>谐振电容</t>
  </si>
  <si>
    <r>
      <t>C</t>
    </r>
    <r>
      <rPr>
        <vertAlign val="subscript"/>
        <sz val="12"/>
        <rFont val="宋体"/>
        <family val="0"/>
      </rPr>
      <t>r</t>
    </r>
  </si>
  <si>
    <t>nF</t>
  </si>
  <si>
    <t>Cr=1/(2*3.14159*fr*Rac*Q)*1000000000</t>
  </si>
  <si>
    <t>变压器初级感量为</t>
  </si>
  <si>
    <r>
      <t>L</t>
    </r>
    <r>
      <rPr>
        <vertAlign val="subscript"/>
        <sz val="12"/>
        <rFont val="宋体"/>
        <family val="0"/>
      </rPr>
      <t>m</t>
    </r>
  </si>
  <si>
    <r>
      <t>L</t>
    </r>
    <r>
      <rPr>
        <sz val="12"/>
        <rFont val="宋体"/>
        <family val="0"/>
      </rPr>
      <t>m=K*Lr</t>
    </r>
  </si>
  <si>
    <t>核算Im&gt;Ip（如不满足，需减小Q或者增大Lr+Lm）</t>
  </si>
  <si>
    <t>辅谐振和MOS管结电容Coss和</t>
  </si>
  <si>
    <r>
      <t>C</t>
    </r>
    <r>
      <rPr>
        <sz val="12"/>
        <rFont val="宋体"/>
        <family val="0"/>
      </rPr>
      <t>p</t>
    </r>
  </si>
  <si>
    <r>
      <t>p</t>
    </r>
    <r>
      <rPr>
        <sz val="12"/>
        <rFont val="宋体"/>
        <family val="0"/>
      </rPr>
      <t>F</t>
    </r>
  </si>
  <si>
    <t>最小死区时间预估</t>
  </si>
  <si>
    <r>
      <t>T</t>
    </r>
    <r>
      <rPr>
        <sz val="12"/>
        <rFont val="宋体"/>
        <family val="0"/>
      </rPr>
      <t>d</t>
    </r>
  </si>
  <si>
    <r>
      <t>n</t>
    </r>
    <r>
      <rPr>
        <sz val="12"/>
        <rFont val="宋体"/>
        <family val="0"/>
      </rPr>
      <t>s</t>
    </r>
  </si>
  <si>
    <t>Td≥4*Cp*fmax*(Lr+Lm)</t>
  </si>
  <si>
    <t>实际死区时间</t>
  </si>
  <si>
    <r>
      <t>T</t>
    </r>
    <r>
      <rPr>
        <vertAlign val="subscript"/>
        <sz val="12"/>
        <rFont val="宋体"/>
        <family val="0"/>
      </rPr>
      <t>dr</t>
    </r>
  </si>
  <si>
    <t>ns</t>
  </si>
  <si>
    <r>
      <t>I</t>
    </r>
    <r>
      <rPr>
        <sz val="12"/>
        <rFont val="宋体"/>
        <family val="0"/>
      </rPr>
      <t>m</t>
    </r>
  </si>
  <si>
    <t>Im=Vin/(4*fmax*(Lr+Lm)/1000000)</t>
  </si>
  <si>
    <r>
      <t>I</t>
    </r>
    <r>
      <rPr>
        <sz val="12"/>
        <rFont val="宋体"/>
        <family val="0"/>
      </rPr>
      <t>p</t>
    </r>
  </si>
  <si>
    <r>
      <t>Ip=Cp*Vin/T</t>
    </r>
    <r>
      <rPr>
        <vertAlign val="subscript"/>
        <sz val="12"/>
        <rFont val="宋体"/>
        <family val="0"/>
      </rPr>
      <t>dr</t>
    </r>
    <r>
      <rPr>
        <sz val="12"/>
        <rFont val="宋体"/>
        <family val="0"/>
      </rPr>
      <t>（40pF是辅谐振电容值，600ns是预计死区时间</t>
    </r>
  </si>
  <si>
    <t>MOS管和整流二极管参数计算</t>
  </si>
  <si>
    <t>直流母线最高电压值</t>
  </si>
  <si>
    <r>
      <t>V</t>
    </r>
    <r>
      <rPr>
        <vertAlign val="subscript"/>
        <sz val="12"/>
        <rFont val="宋体"/>
        <family val="0"/>
      </rPr>
      <t>max</t>
    </r>
  </si>
  <si>
    <t>Vdc</t>
  </si>
  <si>
    <t>谐振电流有效值</t>
  </si>
  <si>
    <r>
      <t>I</t>
    </r>
    <r>
      <rPr>
        <vertAlign val="subscript"/>
        <sz val="12"/>
        <rFont val="宋体"/>
        <family val="0"/>
      </rPr>
      <t>rms</t>
    </r>
  </si>
  <si>
    <r>
      <t>流过M</t>
    </r>
    <r>
      <rPr>
        <sz val="12"/>
        <rFont val="宋体"/>
        <family val="0"/>
      </rPr>
      <t>OS管的有效值</t>
    </r>
  </si>
  <si>
    <r>
      <t>I</t>
    </r>
    <r>
      <rPr>
        <vertAlign val="subscript"/>
        <sz val="12"/>
        <rFont val="宋体"/>
        <family val="0"/>
      </rPr>
      <t>Qrms</t>
    </r>
  </si>
  <si>
    <t>整流二极管电压应力</t>
  </si>
  <si>
    <r>
      <t>V</t>
    </r>
    <r>
      <rPr>
        <vertAlign val="subscript"/>
        <sz val="12"/>
        <rFont val="宋体"/>
        <family val="0"/>
      </rPr>
      <t>d2</t>
    </r>
  </si>
  <si>
    <t>V</t>
  </si>
  <si>
    <t>为输出电压+管压降</t>
  </si>
  <si>
    <t>整流二极管平均电流值</t>
  </si>
  <si>
    <r>
      <t>I</t>
    </r>
    <r>
      <rPr>
        <vertAlign val="subscript"/>
        <sz val="12"/>
        <rFont val="宋体"/>
        <family val="0"/>
      </rPr>
      <t>d</t>
    </r>
  </si>
  <si>
    <t>Id=Io/2</t>
  </si>
  <si>
    <t>通过每个桥臂二极管的电流有效值</t>
  </si>
  <si>
    <r>
      <t>I</t>
    </r>
    <r>
      <rPr>
        <vertAlign val="subscript"/>
        <sz val="12"/>
        <rFont val="宋体"/>
        <family val="0"/>
      </rPr>
      <t>drms</t>
    </r>
  </si>
  <si>
    <r>
      <t>I</t>
    </r>
    <r>
      <rPr>
        <vertAlign val="subscript"/>
        <sz val="12"/>
        <rFont val="宋体"/>
        <family val="0"/>
      </rPr>
      <t>drms</t>
    </r>
    <r>
      <rPr>
        <sz val="12"/>
        <rFont val="宋体"/>
        <family val="0"/>
      </rPr>
      <t>=π*Io/(2*SQRT(2))</t>
    </r>
  </si>
  <si>
    <r>
      <t>输出滤波电路选用C</t>
    </r>
    <r>
      <rPr>
        <sz val="12"/>
        <rFont val="宋体"/>
        <family val="0"/>
      </rPr>
      <t>LC滤波电路，也就是π型滤波，纹波电流基本是由L前的电容承担</t>
    </r>
  </si>
  <si>
    <t>输出电容纹波电流值</t>
  </si>
  <si>
    <r>
      <t>I</t>
    </r>
    <r>
      <rPr>
        <vertAlign val="subscript"/>
        <sz val="12"/>
        <rFont val="宋体"/>
        <family val="0"/>
      </rPr>
      <t>C1</t>
    </r>
  </si>
  <si>
    <r>
      <t>I</t>
    </r>
    <r>
      <rPr>
        <vertAlign val="subscript"/>
        <sz val="12"/>
        <rFont val="宋体"/>
        <family val="0"/>
      </rPr>
      <t>C1</t>
    </r>
    <r>
      <rPr>
        <sz val="12"/>
        <rFont val="宋体"/>
        <family val="0"/>
      </rPr>
      <t>=SQRT(I</t>
    </r>
    <r>
      <rPr>
        <vertAlign val="subscript"/>
        <sz val="12"/>
        <rFont val="宋体"/>
        <family val="0"/>
      </rPr>
      <t>drms</t>
    </r>
    <r>
      <rPr>
        <sz val="12"/>
        <rFont val="宋体"/>
        <family val="0"/>
      </rPr>
      <t>^2-Io^2)</t>
    </r>
  </si>
  <si>
    <t>输出滤波电感电流</t>
  </si>
  <si>
    <r>
      <t>I</t>
    </r>
    <r>
      <rPr>
        <vertAlign val="subscript"/>
        <sz val="12"/>
        <rFont val="宋体"/>
        <family val="0"/>
      </rPr>
      <t>L</t>
    </r>
  </si>
  <si>
    <r>
      <t>I</t>
    </r>
    <r>
      <rPr>
        <vertAlign val="subscript"/>
        <sz val="12"/>
        <rFont val="宋体"/>
        <family val="0"/>
      </rPr>
      <t>L</t>
    </r>
    <r>
      <rPr>
        <sz val="12"/>
        <rFont val="宋体"/>
        <family val="0"/>
      </rPr>
      <t>=Io</t>
    </r>
  </si>
  <si>
    <r>
      <t>I</t>
    </r>
    <r>
      <rPr>
        <vertAlign val="subscript"/>
        <sz val="12"/>
        <rFont val="宋体"/>
        <family val="0"/>
      </rPr>
      <t>Qrms</t>
    </r>
    <r>
      <rPr>
        <sz val="12"/>
        <rFont val="宋体"/>
        <family val="0"/>
      </rPr>
      <t>=</t>
    </r>
    <r>
      <rPr>
        <sz val="12"/>
        <rFont val="宋体"/>
        <family val="0"/>
      </rPr>
      <t>Irms</t>
    </r>
    <r>
      <rPr>
        <sz val="12"/>
        <rFont val="宋体"/>
        <family val="0"/>
      </rPr>
      <t>/SQRT(2)</t>
    </r>
  </si>
  <si>
    <t>谐振电容上的最大压降</t>
  </si>
  <si>
    <r>
      <t>V</t>
    </r>
    <r>
      <rPr>
        <sz val="12"/>
        <rFont val="宋体"/>
        <family val="0"/>
      </rPr>
      <t>cr</t>
    </r>
  </si>
  <si>
    <t>V</t>
  </si>
  <si>
    <r>
      <t>I</t>
    </r>
    <r>
      <rPr>
        <vertAlign val="subscript"/>
        <sz val="12"/>
        <rFont val="宋体"/>
        <family val="0"/>
      </rPr>
      <t>rms</t>
    </r>
    <r>
      <rPr>
        <sz val="12"/>
        <rFont val="宋体"/>
        <family val="0"/>
      </rPr>
      <t>=Vout/(4*SQRT(2)*n*RL)*SQRT(4*3.14159^2+(n^4*RL^2)/(Lm^2*fr^2))</t>
    </r>
  </si>
  <si>
    <t>Vcr=SQRT(2)*Irms/(3.14159*fr*Cr)</t>
  </si>
  <si>
    <t>公司现有的1600V 683电容两并两串为68nF</t>
  </si>
  <si>
    <r>
      <t>变压器的A</t>
    </r>
    <r>
      <rPr>
        <sz val="12"/>
        <rFont val="宋体"/>
        <family val="0"/>
      </rPr>
      <t>P值</t>
    </r>
  </si>
  <si>
    <r>
      <t>A</t>
    </r>
    <r>
      <rPr>
        <sz val="12"/>
        <rFont val="宋体"/>
        <family val="0"/>
      </rPr>
      <t>P</t>
    </r>
  </si>
  <si>
    <r>
      <t>c</t>
    </r>
    <r>
      <rPr>
        <sz val="12"/>
        <rFont val="宋体"/>
        <family val="0"/>
      </rPr>
      <t>m</t>
    </r>
    <r>
      <rPr>
        <vertAlign val="superscript"/>
        <sz val="12"/>
        <rFont val="宋体"/>
        <family val="0"/>
      </rPr>
      <t>4</t>
    </r>
  </si>
  <si>
    <r>
      <t>A</t>
    </r>
    <r>
      <rPr>
        <sz val="12"/>
        <rFont val="宋体"/>
        <family val="0"/>
      </rPr>
      <t>e</t>
    </r>
  </si>
  <si>
    <r>
      <t>m</t>
    </r>
    <r>
      <rPr>
        <sz val="12"/>
        <rFont val="宋体"/>
        <family val="0"/>
      </rPr>
      <t>m</t>
    </r>
    <r>
      <rPr>
        <vertAlign val="superscript"/>
        <sz val="12"/>
        <rFont val="宋体"/>
        <family val="0"/>
      </rPr>
      <t>2</t>
    </r>
  </si>
  <si>
    <t>变压器变比校正</t>
  </si>
  <si>
    <r>
      <t>n</t>
    </r>
    <r>
      <rPr>
        <vertAlign val="subscript"/>
        <sz val="12"/>
        <rFont val="宋体"/>
        <family val="0"/>
      </rPr>
      <t>r</t>
    </r>
  </si>
  <si>
    <t>选EE70的磁芯，两对，使用双EE70B的磁芯</t>
  </si>
  <si>
    <r>
      <t>n</t>
    </r>
    <r>
      <rPr>
        <vertAlign val="subscript"/>
        <sz val="12"/>
        <rFont val="宋体"/>
        <family val="0"/>
      </rPr>
      <t>r</t>
    </r>
    <r>
      <rPr>
        <sz val="12"/>
        <rFont val="宋体"/>
        <family val="0"/>
      </rPr>
      <t>=SQRT((K+1)/K)*n</t>
    </r>
  </si>
  <si>
    <t>变压器所选磁芯Ae</t>
  </si>
  <si>
    <t>谐振电感所选磁芯Ae</t>
  </si>
  <si>
    <r>
      <t>N</t>
    </r>
    <r>
      <rPr>
        <vertAlign val="subscript"/>
        <sz val="12"/>
        <rFont val="宋体"/>
        <family val="0"/>
      </rPr>
      <t>real</t>
    </r>
  </si>
  <si>
    <t>主变压器设计</t>
  </si>
  <si>
    <t>谐振电容设计</t>
  </si>
  <si>
    <r>
      <t>m</t>
    </r>
    <r>
      <rPr>
        <sz val="12"/>
        <rFont val="宋体"/>
        <family val="0"/>
      </rPr>
      <t>m</t>
    </r>
  </si>
  <si>
    <t>谐振电感设计</t>
  </si>
  <si>
    <r>
      <t>A</t>
    </r>
    <r>
      <rPr>
        <vertAlign val="subscript"/>
        <sz val="12"/>
        <rFont val="宋体"/>
        <family val="0"/>
      </rPr>
      <t>Le</t>
    </r>
  </si>
  <si>
    <t>保证不饱和的最少匝数</t>
  </si>
  <si>
    <r>
      <t>n</t>
    </r>
    <r>
      <rPr>
        <vertAlign val="subscript"/>
        <sz val="12"/>
        <rFont val="宋体"/>
        <family val="0"/>
      </rPr>
      <t>L</t>
    </r>
  </si>
  <si>
    <t>实际匝数</t>
  </si>
  <si>
    <t>实际次级匝数</t>
  </si>
  <si>
    <t>计算气隙</t>
  </si>
  <si>
    <t>实际气隙</t>
  </si>
  <si>
    <t>σr</t>
  </si>
  <si>
    <t>mm</t>
  </si>
  <si>
    <r>
      <t>m</t>
    </r>
    <r>
      <rPr>
        <sz val="12"/>
        <rFont val="宋体"/>
        <family val="0"/>
      </rPr>
      <t>m</t>
    </r>
  </si>
  <si>
    <r>
      <t>n</t>
    </r>
    <r>
      <rPr>
        <vertAlign val="subscript"/>
        <sz val="12"/>
        <rFont val="宋体"/>
        <family val="0"/>
      </rPr>
      <t>rL</t>
    </r>
  </si>
  <si>
    <r>
      <t>σ</t>
    </r>
    <r>
      <rPr>
        <vertAlign val="subscript"/>
        <sz val="12"/>
        <rFont val="宋体"/>
        <family val="0"/>
      </rPr>
      <t>L</t>
    </r>
  </si>
  <si>
    <r>
      <t>σ</t>
    </r>
    <r>
      <rPr>
        <vertAlign val="subscript"/>
        <sz val="12"/>
        <rFont val="宋体"/>
        <family val="0"/>
      </rPr>
      <t>Lr</t>
    </r>
  </si>
  <si>
    <t>重新计算初级匝数</t>
  </si>
  <si>
    <r>
      <t>N</t>
    </r>
    <r>
      <rPr>
        <vertAlign val="subscript"/>
        <sz val="12"/>
        <rFont val="宋体"/>
        <family val="0"/>
      </rPr>
      <t>again</t>
    </r>
  </si>
  <si>
    <t>实际初级匝数</t>
  </si>
  <si>
    <r>
      <t>N</t>
    </r>
    <r>
      <rPr>
        <vertAlign val="subscript"/>
        <sz val="12"/>
        <rFont val="宋体"/>
        <family val="0"/>
      </rPr>
      <t>2</t>
    </r>
  </si>
  <si>
    <t>重新计算匝数</t>
  </si>
  <si>
    <r>
      <t>n</t>
    </r>
    <r>
      <rPr>
        <vertAlign val="subscript"/>
        <sz val="12"/>
        <rFont val="宋体"/>
        <family val="0"/>
      </rPr>
      <t>aL</t>
    </r>
  </si>
  <si>
    <t>Nagain=SQRT((Lm*σr/(Ae*μ0))</t>
  </si>
  <si>
    <r>
      <rPr>
        <sz val="12"/>
        <rFont val="宋体"/>
        <family val="0"/>
      </rPr>
      <t>n</t>
    </r>
    <r>
      <rPr>
        <vertAlign val="subscript"/>
        <sz val="12"/>
        <rFont val="宋体"/>
        <family val="0"/>
      </rPr>
      <t>aL</t>
    </r>
    <r>
      <rPr>
        <sz val="12"/>
        <rFont val="宋体"/>
        <family val="0"/>
      </rPr>
      <t>=SQRT((Lr*σLr/(ALe*4*3.14159))*10000)</t>
    </r>
  </si>
  <si>
    <t>σL=nL^2*ALe*4*3.14/Lr</t>
  </si>
  <si>
    <r>
      <t>n</t>
    </r>
    <r>
      <rPr>
        <vertAlign val="subscript"/>
        <sz val="12"/>
        <rFont val="宋体"/>
        <family val="0"/>
      </rPr>
      <t>L</t>
    </r>
    <r>
      <rPr>
        <sz val="12"/>
        <rFont val="宋体"/>
        <family val="0"/>
      </rPr>
      <t>=L</t>
    </r>
    <r>
      <rPr>
        <vertAlign val="subscript"/>
        <sz val="12"/>
        <rFont val="宋体"/>
        <family val="0"/>
      </rPr>
      <t>r</t>
    </r>
    <r>
      <rPr>
        <sz val="12"/>
        <rFont val="宋体"/>
        <family val="0"/>
      </rPr>
      <t>*1.414*I</t>
    </r>
    <r>
      <rPr>
        <vertAlign val="subscript"/>
        <sz val="12"/>
        <rFont val="宋体"/>
        <family val="0"/>
      </rPr>
      <t>rms</t>
    </r>
    <r>
      <rPr>
        <sz val="12"/>
        <rFont val="宋体"/>
        <family val="0"/>
      </rPr>
      <t>*2/0.25/A</t>
    </r>
    <r>
      <rPr>
        <vertAlign val="subscript"/>
        <sz val="12"/>
        <rFont val="宋体"/>
        <family val="0"/>
      </rPr>
      <t xml:space="preserve">le </t>
    </r>
    <r>
      <rPr>
        <sz val="12"/>
        <rFont val="宋体"/>
        <family val="0"/>
      </rPr>
      <t>【1.414*Irms*2取得为谐振电流峰值的2倍，防止短路时饱和】</t>
    </r>
  </si>
  <si>
    <t>AP=(Pout/(K*ΔB*fr))^(4/3)  【这里K取0.017，ΔB取0.25T】</t>
  </si>
  <si>
    <r>
      <t>一对EE</t>
    </r>
    <r>
      <rPr>
        <sz val="12"/>
        <rFont val="宋体"/>
        <family val="0"/>
      </rPr>
      <t>55B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</si>
</sst>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  <numFmt numFmtId="178" formatCode="0.00000000_ "/>
    <numFmt numFmtId="179" formatCode="0.0000000_ "/>
    <numFmt numFmtId="180" formatCode="0.000000_ "/>
    <numFmt numFmtId="181" formatCode="0.00000_ "/>
    <numFmt numFmtId="182" formatCode="0.0000_ "/>
    <numFmt numFmtId="183" formatCode="0.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</numFmts>
  <fonts count="21">
    <font>
      <sz val="1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vertAlign val="subscript"/>
      <sz val="12"/>
      <name val="宋体"/>
      <family val="0"/>
    </font>
    <font>
      <vertAlign val="superscript"/>
      <sz val="12"/>
      <name val="宋体"/>
      <family val="0"/>
    </font>
    <font>
      <sz val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7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9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6" fontId="0" fillId="0" borderId="10" xfId="0" applyNumberFormat="1" applyFill="1" applyBorder="1" applyAlignment="1">
      <alignment horizontal="right" vertical="center"/>
    </xf>
    <xf numFmtId="0" fontId="0" fillId="24" borderId="10" xfId="0" applyFill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/>
    </xf>
    <xf numFmtId="0" fontId="0" fillId="24" borderId="10" xfId="0" applyFill="1" applyBorder="1" applyAlignment="1">
      <alignment horizontal="right" vertical="center"/>
    </xf>
    <xf numFmtId="0" fontId="0" fillId="24" borderId="10" xfId="0" applyFill="1" applyBorder="1" applyAlignment="1">
      <alignment vertical="center"/>
    </xf>
    <xf numFmtId="176" fontId="0" fillId="24" borderId="10" xfId="0" applyNumberFormat="1" applyFill="1" applyBorder="1" applyAlignment="1">
      <alignment horizontal="right" vertical="center"/>
    </xf>
    <xf numFmtId="177" fontId="0" fillId="24" borderId="10" xfId="0" applyNumberForma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77" fontId="0" fillId="24" borderId="1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25" borderId="10" xfId="0" applyFont="1" applyFill="1" applyBorder="1" applyAlignment="1">
      <alignment horizontal="left" vertical="center"/>
    </xf>
    <xf numFmtId="183" fontId="0" fillId="25" borderId="10" xfId="0" applyNumberForma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25" borderId="10" xfId="0" applyFont="1" applyFill="1" applyBorder="1" applyAlignment="1">
      <alignment vertical="center"/>
    </xf>
    <xf numFmtId="176" fontId="0" fillId="25" borderId="10" xfId="0" applyNumberForma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25" borderId="10" xfId="0" applyFont="1" applyFill="1" applyBorder="1" applyAlignment="1">
      <alignment vertical="center"/>
    </xf>
    <xf numFmtId="177" fontId="0" fillId="0" borderId="10" xfId="0" applyNumberForma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176" fontId="0" fillId="25" borderId="10" xfId="0" applyNumberFormat="1" applyFont="1" applyFill="1" applyBorder="1" applyAlignment="1">
      <alignment horizontal="right" vertical="center"/>
    </xf>
    <xf numFmtId="0" fontId="0" fillId="25" borderId="10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SheetLayoutView="100" zoomScalePageLayoutView="0" workbookViewId="0" topLeftCell="A36">
      <selection activeCell="F49" sqref="F49"/>
    </sheetView>
  </sheetViews>
  <sheetFormatPr defaultColWidth="9.00390625" defaultRowHeight="14.25"/>
  <cols>
    <col min="1" max="1" width="33.875" style="2" bestFit="1" customWidth="1"/>
    <col min="2" max="2" width="18.25390625" style="2" customWidth="1"/>
    <col min="3" max="3" width="13.875" style="3" bestFit="1" customWidth="1"/>
    <col min="4" max="4" width="9.00390625" style="4" customWidth="1"/>
    <col min="5" max="5" width="10.50390625" style="0" bestFit="1" customWidth="1"/>
    <col min="6" max="6" width="91.50390625" style="2" bestFit="1" customWidth="1"/>
  </cols>
  <sheetData>
    <row r="1" spans="1:6" ht="14.25">
      <c r="A1" s="42" t="s">
        <v>0</v>
      </c>
      <c r="B1" s="42"/>
      <c r="C1" s="42"/>
      <c r="D1" s="42"/>
      <c r="E1" s="42"/>
      <c r="F1" s="42"/>
    </row>
    <row r="2" spans="1:6" ht="14.25">
      <c r="A2" s="5"/>
      <c r="B2" s="5"/>
      <c r="C2" s="6"/>
      <c r="D2" s="7"/>
      <c r="E2" s="8" t="s">
        <v>1</v>
      </c>
      <c r="F2" s="5" t="s">
        <v>2</v>
      </c>
    </row>
    <row r="3" spans="1:6" ht="18.75">
      <c r="A3" s="5" t="s">
        <v>3</v>
      </c>
      <c r="B3" s="9" t="s">
        <v>4</v>
      </c>
      <c r="C3" s="6">
        <v>780</v>
      </c>
      <c r="D3" s="7" t="s">
        <v>5</v>
      </c>
      <c r="E3" s="8"/>
      <c r="F3" s="5"/>
    </row>
    <row r="4" spans="1:6" ht="18.75">
      <c r="A4" s="5" t="s">
        <v>6</v>
      </c>
      <c r="B4" s="9" t="s">
        <v>7</v>
      </c>
      <c r="C4" s="6">
        <v>336</v>
      </c>
      <c r="D4" s="7" t="s">
        <v>5</v>
      </c>
      <c r="E4" s="8"/>
      <c r="F4" s="5"/>
    </row>
    <row r="5" spans="1:6" ht="18.75">
      <c r="A5" s="5" t="s">
        <v>8</v>
      </c>
      <c r="B5" s="9" t="s">
        <v>9</v>
      </c>
      <c r="C5" s="6">
        <v>450</v>
      </c>
      <c r="D5" s="7" t="s">
        <v>5</v>
      </c>
      <c r="E5" s="8"/>
      <c r="F5" s="5"/>
    </row>
    <row r="6" spans="1:6" ht="18.75">
      <c r="A6" s="5" t="s">
        <v>10</v>
      </c>
      <c r="B6" s="9" t="s">
        <v>11</v>
      </c>
      <c r="C6" s="6">
        <v>400</v>
      </c>
      <c r="D6" s="7" t="s">
        <v>5</v>
      </c>
      <c r="E6" s="8"/>
      <c r="F6" s="5"/>
    </row>
    <row r="7" spans="1:6" ht="18.75">
      <c r="A7" s="10" t="s">
        <v>12</v>
      </c>
      <c r="B7" s="11" t="s">
        <v>13</v>
      </c>
      <c r="C7" s="12">
        <v>100000</v>
      </c>
      <c r="D7" s="13" t="s">
        <v>14</v>
      </c>
      <c r="E7" s="14"/>
      <c r="F7" s="10"/>
    </row>
    <row r="8" spans="1:6" ht="18.75">
      <c r="A8" s="5" t="s">
        <v>15</v>
      </c>
      <c r="B8" s="9" t="s">
        <v>16</v>
      </c>
      <c r="C8" s="6">
        <v>37.5</v>
      </c>
      <c r="D8" s="7" t="s">
        <v>17</v>
      </c>
      <c r="E8" s="8"/>
      <c r="F8" s="5"/>
    </row>
    <row r="9" spans="1:6" ht="18.75">
      <c r="A9" s="5" t="s">
        <v>18</v>
      </c>
      <c r="B9" s="9" t="s">
        <v>19</v>
      </c>
      <c r="C9" s="6">
        <v>2</v>
      </c>
      <c r="D9" s="7" t="s">
        <v>5</v>
      </c>
      <c r="E9" s="8"/>
      <c r="F9" s="5"/>
    </row>
    <row r="10" spans="1:6" ht="14.25">
      <c r="A10" s="10" t="s">
        <v>20</v>
      </c>
      <c r="B10" s="10" t="s">
        <v>21</v>
      </c>
      <c r="C10" s="15">
        <v>4</v>
      </c>
      <c r="D10" s="13"/>
      <c r="E10" s="14"/>
      <c r="F10" s="11"/>
    </row>
    <row r="11" spans="1:6" ht="18.75">
      <c r="A11" s="16" t="s">
        <v>22</v>
      </c>
      <c r="B11" s="17" t="s">
        <v>23</v>
      </c>
      <c r="C11" s="18">
        <f>Vout*Io</f>
        <v>15000</v>
      </c>
      <c r="D11" s="19" t="s">
        <v>24</v>
      </c>
      <c r="E11" s="8"/>
      <c r="F11" s="9" t="s">
        <v>25</v>
      </c>
    </row>
    <row r="12" spans="1:6" ht="18.75">
      <c r="A12" s="16" t="s">
        <v>26</v>
      </c>
      <c r="B12" s="16" t="s">
        <v>27</v>
      </c>
      <c r="C12" s="20">
        <f>Vin/(Vout+2*Vd)</f>
        <v>1.9306930693069306</v>
      </c>
      <c r="D12" s="19"/>
      <c r="E12" s="8"/>
      <c r="F12" s="9" t="s">
        <v>28</v>
      </c>
    </row>
    <row r="13" spans="1:6" ht="18.75">
      <c r="A13" s="16" t="s">
        <v>29</v>
      </c>
      <c r="B13" s="17" t="s">
        <v>30</v>
      </c>
      <c r="C13" s="20">
        <f>n*(Vomin+2*Vd)/Vin</f>
        <v>0.8415841584158416</v>
      </c>
      <c r="D13" s="19"/>
      <c r="E13" s="8"/>
      <c r="F13" s="9" t="s">
        <v>31</v>
      </c>
    </row>
    <row r="14" spans="1:6" ht="18.75">
      <c r="A14" s="16" t="s">
        <v>32</v>
      </c>
      <c r="B14" s="17" t="s">
        <v>33</v>
      </c>
      <c r="C14" s="20">
        <f>n*(Vomax+2*Vd)/Vin</f>
        <v>1.1237623762376239</v>
      </c>
      <c r="D14" s="19"/>
      <c r="E14" s="8"/>
      <c r="F14" s="9" t="s">
        <v>34</v>
      </c>
    </row>
    <row r="15" spans="1:6" ht="18.75">
      <c r="A15" s="16" t="s">
        <v>35</v>
      </c>
      <c r="B15" s="17" t="s">
        <v>36</v>
      </c>
      <c r="C15" s="21">
        <f>fmin*SQRT(1+K*(Gmax^2-1)/Gmax^2)</f>
        <v>135371.37434847234</v>
      </c>
      <c r="D15" s="19" t="s">
        <v>14</v>
      </c>
      <c r="E15" s="8"/>
      <c r="F15" s="11" t="s">
        <v>37</v>
      </c>
    </row>
    <row r="16" spans="1:6" ht="18.75">
      <c r="A16" s="16" t="s">
        <v>38</v>
      </c>
      <c r="B16" s="17" t="s">
        <v>39</v>
      </c>
      <c r="C16" s="21">
        <f>fr/(SQRT(1+K*(Gmin-1)/Gmin))</f>
        <v>272349.5446947781</v>
      </c>
      <c r="D16" s="19" t="s">
        <v>14</v>
      </c>
      <c r="E16" s="8"/>
      <c r="F16" s="11" t="s">
        <v>40</v>
      </c>
    </row>
    <row r="17" spans="1:6" ht="18.75">
      <c r="A17" s="16" t="s">
        <v>41</v>
      </c>
      <c r="B17" s="17" t="s">
        <v>42</v>
      </c>
      <c r="C17" s="20">
        <f>Vout/Io</f>
        <v>10.666666666666666</v>
      </c>
      <c r="D17" s="19" t="s">
        <v>43</v>
      </c>
      <c r="E17" s="8"/>
      <c r="F17" s="9" t="s">
        <v>44</v>
      </c>
    </row>
    <row r="18" spans="1:6" ht="18.75">
      <c r="A18" s="16" t="s">
        <v>45</v>
      </c>
      <c r="B18" s="17" t="s">
        <v>46</v>
      </c>
      <c r="C18" s="20">
        <f>8*RL*n^2/3.14156^2</f>
        <v>32.229566823950556</v>
      </c>
      <c r="D18" s="19" t="s">
        <v>43</v>
      </c>
      <c r="E18" s="8"/>
      <c r="F18" s="9" t="s">
        <v>47</v>
      </c>
    </row>
    <row r="19" spans="1:6" ht="18.75">
      <c r="A19" s="16" t="s">
        <v>48</v>
      </c>
      <c r="B19" s="17" t="s">
        <v>49</v>
      </c>
      <c r="C19" s="20">
        <f>(SQRT(K+Gmax^2/(Gmax^2-1)))/(K*Gmax)</f>
        <v>0.6601149457324336</v>
      </c>
      <c r="D19" s="19"/>
      <c r="E19" s="8"/>
      <c r="F19" s="9" t="s">
        <v>50</v>
      </c>
    </row>
    <row r="20" spans="1:6" ht="18.75">
      <c r="A20" s="16"/>
      <c r="B20" s="16" t="s">
        <v>51</v>
      </c>
      <c r="C20" s="20">
        <f>0.95*Qmax</f>
        <v>0.6271091984458118</v>
      </c>
      <c r="D20" s="19"/>
      <c r="E20" s="8"/>
      <c r="F20" s="9" t="s">
        <v>52</v>
      </c>
    </row>
    <row r="21" spans="1:6" ht="18.75">
      <c r="A21" s="16" t="s">
        <v>53</v>
      </c>
      <c r="B21" s="17" t="s">
        <v>54</v>
      </c>
      <c r="C21" s="20">
        <f>((Q*Rac)/(2*3.14159*fr))*1000000</f>
        <v>23.76245459030016</v>
      </c>
      <c r="D21" s="19" t="s">
        <v>55</v>
      </c>
      <c r="E21" s="8"/>
      <c r="F21" s="9" t="s">
        <v>56</v>
      </c>
    </row>
    <row r="22" spans="1:6" ht="18.75">
      <c r="A22" s="16" t="s">
        <v>57</v>
      </c>
      <c r="B22" s="17" t="s">
        <v>58</v>
      </c>
      <c r="C22" s="20">
        <f>1/(2*3.14159*fr*Rac*Q)*1000000000</f>
        <v>58.169592424181666</v>
      </c>
      <c r="D22" s="19" t="s">
        <v>59</v>
      </c>
      <c r="E22" s="8"/>
      <c r="F22" s="9" t="s">
        <v>60</v>
      </c>
    </row>
    <row r="23" spans="1:6" ht="18.75">
      <c r="A23" s="16" t="s">
        <v>61</v>
      </c>
      <c r="B23" s="17" t="s">
        <v>62</v>
      </c>
      <c r="C23" s="20">
        <f>K*Lr</f>
        <v>95.04981836120064</v>
      </c>
      <c r="D23" s="19" t="s">
        <v>55</v>
      </c>
      <c r="E23" s="8"/>
      <c r="F23" s="9" t="s">
        <v>63</v>
      </c>
    </row>
    <row r="24" spans="1:6" s="1" customFormat="1" ht="14.25">
      <c r="A24" s="43" t="s">
        <v>64</v>
      </c>
      <c r="B24" s="44"/>
      <c r="C24" s="44"/>
      <c r="D24" s="44"/>
      <c r="E24" s="44"/>
      <c r="F24" s="45"/>
    </row>
    <row r="25" spans="1:6" s="1" customFormat="1" ht="14.25">
      <c r="A25" s="11" t="s">
        <v>65</v>
      </c>
      <c r="B25" s="11" t="s">
        <v>66</v>
      </c>
      <c r="C25" s="12">
        <v>4000</v>
      </c>
      <c r="D25" s="22" t="s">
        <v>67</v>
      </c>
      <c r="E25" s="23"/>
      <c r="F25" s="10"/>
    </row>
    <row r="26" spans="1:6" s="1" customFormat="1" ht="14.25">
      <c r="A26" s="17" t="s">
        <v>68</v>
      </c>
      <c r="B26" s="17" t="s">
        <v>69</v>
      </c>
      <c r="C26" s="24">
        <f>4*Cp*fmax*(Lr+Lm)/1000000000</f>
        <v>517.7354950798871</v>
      </c>
      <c r="D26" s="25" t="s">
        <v>70</v>
      </c>
      <c r="E26" s="23"/>
      <c r="F26" s="11" t="s">
        <v>71</v>
      </c>
    </row>
    <row r="27" spans="1:6" s="1" customFormat="1" ht="18.75">
      <c r="A27" s="11" t="s">
        <v>72</v>
      </c>
      <c r="B27" s="11" t="s">
        <v>73</v>
      </c>
      <c r="C27" s="26">
        <v>600</v>
      </c>
      <c r="D27" s="22" t="s">
        <v>74</v>
      </c>
      <c r="E27" s="23"/>
      <c r="F27" s="11"/>
    </row>
    <row r="28" spans="1:6" ht="14.25">
      <c r="A28" s="16"/>
      <c r="B28" s="17" t="s">
        <v>75</v>
      </c>
      <c r="C28" s="20">
        <f>Vin/(4*fmax*(Lr+Lm)/1000000)</f>
        <v>6.026243187206203</v>
      </c>
      <c r="D28" s="25" t="s">
        <v>17</v>
      </c>
      <c r="E28" s="8"/>
      <c r="F28" s="9" t="s">
        <v>76</v>
      </c>
    </row>
    <row r="29" spans="1:6" ht="18.75">
      <c r="A29" s="16"/>
      <c r="B29" s="17" t="s">
        <v>77</v>
      </c>
      <c r="C29" s="20">
        <f>Cp*Vin/C27/1000</f>
        <v>5.2</v>
      </c>
      <c r="D29" s="25" t="s">
        <v>17</v>
      </c>
      <c r="E29" s="7"/>
      <c r="F29" s="9" t="s">
        <v>78</v>
      </c>
    </row>
    <row r="30" spans="1:6" ht="14.25">
      <c r="A30" s="46" t="s">
        <v>79</v>
      </c>
      <c r="B30" s="47"/>
      <c r="C30" s="47"/>
      <c r="D30" s="47"/>
      <c r="E30" s="47"/>
      <c r="F30" s="48"/>
    </row>
    <row r="31" spans="1:6" ht="18.75">
      <c r="A31" s="5" t="s">
        <v>80</v>
      </c>
      <c r="B31" s="9" t="s">
        <v>81</v>
      </c>
      <c r="C31" s="6">
        <v>800</v>
      </c>
      <c r="D31" s="7" t="s">
        <v>82</v>
      </c>
      <c r="E31" s="8"/>
      <c r="F31" s="5"/>
    </row>
    <row r="32" spans="1:6" ht="18.75">
      <c r="A32" s="17" t="s">
        <v>83</v>
      </c>
      <c r="B32" s="17" t="s">
        <v>84</v>
      </c>
      <c r="C32" s="20">
        <f>Vout/(4*SQRT(2)*n*RL)*SQRT(4*3.14159^2+(n^4*RL^2)/((Lm/1000000)^2*fr^2))</f>
        <v>24.041518184180315</v>
      </c>
      <c r="D32" s="25" t="s">
        <v>17</v>
      </c>
      <c r="E32" s="14"/>
      <c r="F32" s="27" t="s">
        <v>108</v>
      </c>
    </row>
    <row r="33" spans="1:6" ht="18.75">
      <c r="A33" s="17" t="s">
        <v>85</v>
      </c>
      <c r="B33" s="17" t="s">
        <v>86</v>
      </c>
      <c r="C33" s="20">
        <f>Irms/1.414</f>
        <v>17.002488107623986</v>
      </c>
      <c r="D33" s="25" t="s">
        <v>17</v>
      </c>
      <c r="E33" s="14"/>
      <c r="F33" s="27" t="s">
        <v>104</v>
      </c>
    </row>
    <row r="34" spans="1:6" ht="18.75">
      <c r="A34" s="17" t="s">
        <v>87</v>
      </c>
      <c r="B34" s="17" t="s">
        <v>88</v>
      </c>
      <c r="C34" s="18">
        <v>495</v>
      </c>
      <c r="D34" s="25" t="s">
        <v>89</v>
      </c>
      <c r="E34" s="8"/>
      <c r="F34" s="9" t="s">
        <v>90</v>
      </c>
    </row>
    <row r="35" spans="1:6" ht="18.75">
      <c r="A35" s="17" t="s">
        <v>91</v>
      </c>
      <c r="B35" s="17" t="s">
        <v>92</v>
      </c>
      <c r="C35" s="18">
        <f>Io/2</f>
        <v>18.75</v>
      </c>
      <c r="D35" s="25" t="s">
        <v>17</v>
      </c>
      <c r="E35" s="8"/>
      <c r="F35" s="9" t="s">
        <v>93</v>
      </c>
    </row>
    <row r="36" spans="1:6" ht="18.75">
      <c r="A36" s="17" t="s">
        <v>94</v>
      </c>
      <c r="B36" s="17" t="s">
        <v>95</v>
      </c>
      <c r="C36" s="20">
        <f>3.14159/2/1.414*Io</f>
        <v>41.65828323903819</v>
      </c>
      <c r="D36" s="25" t="s">
        <v>17</v>
      </c>
      <c r="E36" s="14"/>
      <c r="F36" s="11" t="s">
        <v>96</v>
      </c>
    </row>
    <row r="37" spans="1:6" ht="14.25">
      <c r="A37" s="46" t="s">
        <v>97</v>
      </c>
      <c r="B37" s="49"/>
      <c r="C37" s="49"/>
      <c r="D37" s="49"/>
      <c r="E37" s="49"/>
      <c r="F37" s="50"/>
    </row>
    <row r="38" spans="1:6" ht="18.75">
      <c r="A38" s="17" t="s">
        <v>98</v>
      </c>
      <c r="B38" s="17" t="s">
        <v>99</v>
      </c>
      <c r="C38" s="20">
        <f>SQRT(Idrms^2-Io^2)</f>
        <v>18.142837772077726</v>
      </c>
      <c r="D38" s="25" t="s">
        <v>17</v>
      </c>
      <c r="E38" s="8"/>
      <c r="F38" s="9" t="s">
        <v>100</v>
      </c>
    </row>
    <row r="39" spans="1:6" ht="18.75">
      <c r="A39" s="17" t="s">
        <v>101</v>
      </c>
      <c r="B39" s="17" t="s">
        <v>102</v>
      </c>
      <c r="C39" s="18">
        <f>Io</f>
        <v>37.5</v>
      </c>
      <c r="D39" s="25" t="s">
        <v>17</v>
      </c>
      <c r="E39" s="8"/>
      <c r="F39" s="9" t="s">
        <v>103</v>
      </c>
    </row>
    <row r="40" spans="1:6" ht="14.25">
      <c r="A40" s="51" t="s">
        <v>124</v>
      </c>
      <c r="B40" s="42"/>
      <c r="C40" s="42"/>
      <c r="D40" s="42"/>
      <c r="E40" s="42"/>
      <c r="F40" s="42"/>
    </row>
    <row r="41" spans="1:7" ht="14.25">
      <c r="A41" s="30" t="s">
        <v>105</v>
      </c>
      <c r="B41" s="30" t="s">
        <v>106</v>
      </c>
      <c r="C41" s="31">
        <f>1.414*Irms/(3.14159*fr*(Cr/1000000000))</f>
        <v>1374.1651614543566</v>
      </c>
      <c r="D41" s="33" t="s">
        <v>107</v>
      </c>
      <c r="E41" s="8"/>
      <c r="F41" s="28" t="s">
        <v>109</v>
      </c>
      <c r="G41" s="32" t="s">
        <v>110</v>
      </c>
    </row>
    <row r="42" spans="1:7" ht="14.25">
      <c r="A42" s="41" t="s">
        <v>123</v>
      </c>
      <c r="B42" s="41"/>
      <c r="C42" s="41"/>
      <c r="D42" s="41"/>
      <c r="E42" s="41"/>
      <c r="F42" s="41"/>
      <c r="G42" s="32"/>
    </row>
    <row r="43" spans="1:7" ht="16.5">
      <c r="A43" s="30" t="s">
        <v>111</v>
      </c>
      <c r="B43" s="30" t="s">
        <v>112</v>
      </c>
      <c r="C43" s="34">
        <f>(Pout/(0.017*0.25*fr))^(4/3)</f>
        <v>77.30969998304496</v>
      </c>
      <c r="D43" s="33" t="s">
        <v>113</v>
      </c>
      <c r="E43" s="8"/>
      <c r="F43" s="28" t="s">
        <v>150</v>
      </c>
      <c r="G43" s="32" t="s">
        <v>118</v>
      </c>
    </row>
    <row r="44" spans="1:7" ht="16.5">
      <c r="A44" s="28" t="s">
        <v>120</v>
      </c>
      <c r="B44" s="35" t="s">
        <v>114</v>
      </c>
      <c r="C44" s="6">
        <v>1366</v>
      </c>
      <c r="D44" s="29" t="s">
        <v>115</v>
      </c>
      <c r="E44" s="8"/>
      <c r="F44" s="5"/>
      <c r="G44" s="32"/>
    </row>
    <row r="45" spans="1:7" ht="18.75">
      <c r="A45" s="30" t="s">
        <v>116</v>
      </c>
      <c r="B45" s="36" t="s">
        <v>117</v>
      </c>
      <c r="C45" s="34">
        <f>SQRT((K+1)/K)*n</f>
        <v>2.158580473329005</v>
      </c>
      <c r="D45" s="33"/>
      <c r="E45" s="8"/>
      <c r="F45" s="28" t="s">
        <v>119</v>
      </c>
      <c r="G45" s="32"/>
    </row>
    <row r="46" spans="1:6" ht="14.25">
      <c r="A46" s="27" t="s">
        <v>133</v>
      </c>
      <c r="B46" s="27" t="s">
        <v>134</v>
      </c>
      <c r="C46" s="37">
        <v>1</v>
      </c>
      <c r="D46" s="38" t="s">
        <v>135</v>
      </c>
      <c r="E46" s="8"/>
      <c r="F46" s="8"/>
    </row>
    <row r="47" spans="1:6" ht="18.75">
      <c r="A47" s="30" t="s">
        <v>140</v>
      </c>
      <c r="B47" s="30" t="s">
        <v>141</v>
      </c>
      <c r="C47" s="34">
        <f>SQRT((Lm*σr/(Ae*4*3.14159))*10000)</f>
        <v>7.441244034056414</v>
      </c>
      <c r="D47" s="33"/>
      <c r="E47" s="35"/>
      <c r="F47" s="35" t="s">
        <v>146</v>
      </c>
    </row>
    <row r="48" spans="1:6" ht="18.75">
      <c r="A48" s="27" t="s">
        <v>142</v>
      </c>
      <c r="B48" s="27" t="s">
        <v>122</v>
      </c>
      <c r="C48" s="37">
        <v>8</v>
      </c>
      <c r="D48" s="38"/>
      <c r="E48" s="35"/>
      <c r="F48" s="8"/>
    </row>
    <row r="49" spans="1:6" ht="18.75">
      <c r="A49" s="27" t="s">
        <v>131</v>
      </c>
      <c r="B49" s="27" t="s">
        <v>143</v>
      </c>
      <c r="C49" s="37">
        <v>4</v>
      </c>
      <c r="D49" s="13"/>
      <c r="E49" s="8"/>
      <c r="F49" s="28"/>
    </row>
    <row r="50" spans="1:6" ht="14.25">
      <c r="A50" s="27"/>
      <c r="B50" s="27"/>
      <c r="C50" s="37"/>
      <c r="D50" s="13"/>
      <c r="E50" s="8"/>
      <c r="F50" s="28"/>
    </row>
    <row r="51" spans="1:6" ht="14.25">
      <c r="A51" s="41" t="s">
        <v>126</v>
      </c>
      <c r="B51" s="41"/>
      <c r="C51" s="41"/>
      <c r="D51" s="41"/>
      <c r="E51" s="41"/>
      <c r="F51" s="41"/>
    </row>
    <row r="52" spans="1:6" ht="18.75">
      <c r="A52" s="28" t="s">
        <v>121</v>
      </c>
      <c r="B52" s="35" t="s">
        <v>127</v>
      </c>
      <c r="C52" s="6">
        <v>420</v>
      </c>
      <c r="D52" s="7"/>
      <c r="E52" s="52" t="s">
        <v>151</v>
      </c>
      <c r="F52" s="5"/>
    </row>
    <row r="53" spans="1:6" ht="18.75">
      <c r="A53" s="30" t="s">
        <v>128</v>
      </c>
      <c r="B53" s="30" t="s">
        <v>129</v>
      </c>
      <c r="C53" s="31">
        <f>Lr*1.414*Irms*2/0.25/ALe</f>
        <v>15.386622372661195</v>
      </c>
      <c r="D53" s="40"/>
      <c r="E53" s="8"/>
      <c r="F53" s="28" t="s">
        <v>149</v>
      </c>
    </row>
    <row r="54" spans="1:6" ht="18.75">
      <c r="A54" s="36" t="s">
        <v>132</v>
      </c>
      <c r="B54" s="36" t="s">
        <v>138</v>
      </c>
      <c r="C54" s="31">
        <f>nL^2*ALe*4*3.14/Lr/10000</f>
        <v>5.255744206848431</v>
      </c>
      <c r="D54" s="33" t="s">
        <v>136</v>
      </c>
      <c r="E54" s="8"/>
      <c r="F54" s="5" t="s">
        <v>148</v>
      </c>
    </row>
    <row r="55" spans="1:6" ht="18.75">
      <c r="A55" s="28" t="s">
        <v>133</v>
      </c>
      <c r="B55" s="28" t="s">
        <v>139</v>
      </c>
      <c r="C55" s="6">
        <v>4</v>
      </c>
      <c r="D55" s="29" t="s">
        <v>125</v>
      </c>
      <c r="E55" s="8"/>
      <c r="F55" s="5"/>
    </row>
    <row r="56" spans="1:6" ht="18.75">
      <c r="A56" s="30" t="s">
        <v>144</v>
      </c>
      <c r="B56" s="30" t="s">
        <v>145</v>
      </c>
      <c r="C56" s="39">
        <f>SQRT((Lr*σLr/(ALe*4*3.14159))*10000)</f>
        <v>13.419806439754788</v>
      </c>
      <c r="D56" s="40"/>
      <c r="E56" s="8"/>
      <c r="F56" s="28" t="s">
        <v>147</v>
      </c>
    </row>
    <row r="57" spans="1:6" ht="18.75">
      <c r="A57" s="28" t="s">
        <v>130</v>
      </c>
      <c r="B57" s="28" t="s">
        <v>137</v>
      </c>
      <c r="C57" s="6">
        <v>14</v>
      </c>
      <c r="D57" s="7"/>
      <c r="E57" s="8"/>
      <c r="F57" s="8"/>
    </row>
    <row r="58" spans="1:6" ht="14.25">
      <c r="A58" s="5"/>
      <c r="B58" s="5"/>
      <c r="C58" s="6"/>
      <c r="D58" s="7"/>
      <c r="E58" s="8"/>
      <c r="F58" s="5"/>
    </row>
    <row r="59" spans="1:6" ht="14.25">
      <c r="A59" s="5"/>
      <c r="B59" s="5"/>
      <c r="C59" s="6"/>
      <c r="D59" s="7"/>
      <c r="E59" s="8"/>
      <c r="F59" s="5"/>
    </row>
    <row r="60" spans="1:6" ht="14.25">
      <c r="A60" s="5"/>
      <c r="B60" s="5"/>
      <c r="C60" s="6"/>
      <c r="D60" s="7"/>
      <c r="E60" s="8"/>
      <c r="F60" s="5"/>
    </row>
    <row r="61" spans="1:6" ht="14.25">
      <c r="A61" s="5"/>
      <c r="B61" s="5"/>
      <c r="C61" s="6"/>
      <c r="D61" s="7"/>
      <c r="E61" s="8"/>
      <c r="F61" s="5"/>
    </row>
    <row r="62" spans="1:6" ht="14.25">
      <c r="A62" s="5"/>
      <c r="B62" s="5"/>
      <c r="C62" s="6"/>
      <c r="D62" s="7"/>
      <c r="E62" s="8"/>
      <c r="F62" s="5"/>
    </row>
    <row r="63" spans="1:6" ht="14.25">
      <c r="A63" s="5"/>
      <c r="B63" s="5"/>
      <c r="C63" s="6"/>
      <c r="D63" s="7"/>
      <c r="E63" s="8"/>
      <c r="F63" s="5"/>
    </row>
    <row r="64" spans="1:6" ht="14.25">
      <c r="A64" s="5"/>
      <c r="B64" s="5"/>
      <c r="C64" s="6"/>
      <c r="D64" s="7"/>
      <c r="E64" s="8"/>
      <c r="F64" s="5"/>
    </row>
  </sheetData>
  <sheetProtection/>
  <mergeCells count="7">
    <mergeCell ref="A51:F51"/>
    <mergeCell ref="A1:F1"/>
    <mergeCell ref="A24:F24"/>
    <mergeCell ref="A30:F30"/>
    <mergeCell ref="A37:F37"/>
    <mergeCell ref="A40:F40"/>
    <mergeCell ref="A42:F42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李金洁</dc:creator>
  <cp:keywords/>
  <dc:description/>
  <cp:lastModifiedBy>SDWM</cp:lastModifiedBy>
  <dcterms:created xsi:type="dcterms:W3CDTF">2014-04-24T00:12:40Z</dcterms:created>
  <dcterms:modified xsi:type="dcterms:W3CDTF">2014-04-29T03:07:47Z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